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<sst xmlns="http://schemas.openxmlformats.org/spreadsheetml/2006/main" count="92" uniqueCount="55">
  <si>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</si>
  <si>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</si>
  <si>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</si>
  <si>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</si>
  <si>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</si>
  <si>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</si>
  <si>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</si>
  <si>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</si>
  <si>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</si>
  <si>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</si>
  <si>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</si>
  <si>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</si>
  <si>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</si>
  <si>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</si>
  <si>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</si>
  <si>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</si>
  <si>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</si>
  <si>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</si>
  <si>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</si>
  <si>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</si>
  <si>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</si>
  <si>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</si>
  <si>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</si>
  <si>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</si>
  <si>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</si>
  <si>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</si>
  <si>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</si>
  <si>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</si>
  <si>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</si>
  <si>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</si>
  <si>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</si>
  <si>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</si>
  <si>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</si>
  <si>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(TCOS Ln 4)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</si>
  <si>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</si>
  <si>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</si>
  <si>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</si>
  <si>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</si>
  <si>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</si>
  <si>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</si>
  <si>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</si>
  <si>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</si>
  <si>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</si>
  <si>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</si>
  <si>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</si>
  <si>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</si>
  <si>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</si>
  <si>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</si>
  <si>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</si>
  <si>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Total Load Dispatch &amp; Scheduling (Account 561) (TCOS Line 14)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</si>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</sst>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0.000"/>
    <numFmt numFmtId="198" formatCode="0.0"/>
    <numFmt numFmtId="199" formatCode="0.0%"/>
  </numFmts>
  <fonts count="1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 MT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3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  <protection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121">
    <xf numFmtId="0" fontId="0" fillId="0" borderId="0" xfId="0" applyAlignment="1">
      <alignment/>
    </xf>
    <xf numFmtId="172" fontId="6" fillId="0" borderId="0" xfId="21" applyFont="1" applyAlignment="1">
      <alignment/>
    </xf>
    <xf numFmtId="172" fontId="3" fillId="0" borderId="0" xfId="21" applyFont="1" applyAlignment="1" applyProtection="1">
      <alignment/>
      <protection locked="0"/>
    </xf>
    <xf numFmtId="172" fontId="6" fillId="0" borderId="0" xfId="21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21" applyNumberFormat="1" applyFont="1" applyProtection="1">
      <alignment/>
      <protection locked="0"/>
    </xf>
    <xf numFmtId="0" fontId="3" fillId="0" borderId="0" xfId="21" applyNumberFormat="1" applyFont="1" applyAlignment="1" applyProtection="1">
      <alignment horizontal="center"/>
      <protection locked="0"/>
    </xf>
    <xf numFmtId="0" fontId="6" fillId="0" borderId="0" xfId="21" applyNumberFormat="1" applyFont="1" applyAlignment="1" applyProtection="1">
      <alignment horizontal="center"/>
      <protection locked="0"/>
    </xf>
    <xf numFmtId="49" fontId="6" fillId="0" borderId="0" xfId="21" applyNumberFormat="1" applyFont="1" applyAlignment="1" applyProtection="1">
      <alignment horizontal="center"/>
      <protection locked="0"/>
    </xf>
    <xf numFmtId="49" fontId="7" fillId="0" borderId="0" xfId="21" applyNumberFormat="1" applyFont="1" applyAlignment="1" applyProtection="1">
      <alignment horizontal="center"/>
      <protection locked="0"/>
    </xf>
    <xf numFmtId="49" fontId="6" fillId="0" borderId="0" xfId="21" applyNumberFormat="1" applyFont="1" applyProtection="1">
      <alignment/>
      <protection locked="0"/>
    </xf>
    <xf numFmtId="172" fontId="8" fillId="0" borderId="0" xfId="21" applyFont="1" applyAlignment="1">
      <alignment horizontal="center"/>
    </xf>
    <xf numFmtId="0" fontId="8" fillId="0" borderId="0" xfId="21" applyNumberFormat="1" applyFont="1" applyAlignment="1" applyProtection="1">
      <alignment horizontal="center"/>
      <protection locked="0"/>
    </xf>
    <xf numFmtId="0" fontId="3" fillId="0" borderId="1" xfId="21" applyNumberFormat="1" applyFont="1" applyBorder="1" applyAlignment="1" applyProtection="1">
      <alignment horizontal="center"/>
      <protection locked="0"/>
    </xf>
    <xf numFmtId="0" fontId="6" fillId="0" borderId="0" xfId="21" applyNumberFormat="1" applyFont="1" applyBorder="1" applyAlignment="1" applyProtection="1">
      <alignment horizontal="center"/>
      <protection locked="0"/>
    </xf>
    <xf numFmtId="0" fontId="3" fillId="0" borderId="0" xfId="21" applyNumberFormat="1" applyFont="1" applyBorder="1" applyAlignment="1" applyProtection="1">
      <alignment horizontal="center"/>
      <protection locked="0"/>
    </xf>
    <xf numFmtId="0" fontId="9" fillId="0" borderId="0" xfId="21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21" applyNumberFormat="1" applyFont="1" applyAlignment="1">
      <alignment/>
    </xf>
    <xf numFmtId="170" fontId="6" fillId="0" borderId="0" xfId="21" applyNumberFormat="1" applyFont="1" applyProtection="1">
      <alignment/>
      <protection locked="0"/>
    </xf>
    <xf numFmtId="1" fontId="6" fillId="0" borderId="0" xfId="21" applyNumberFormat="1" applyFont="1" applyAlignment="1" applyProtection="1">
      <alignment horizontal="center"/>
      <protection locked="0"/>
    </xf>
    <xf numFmtId="170" fontId="6" fillId="0" borderId="0" xfId="21" applyNumberFormat="1" applyFont="1" applyAlignment="1" applyProtection="1">
      <alignment/>
      <protection locked="0"/>
    </xf>
    <xf numFmtId="173" fontId="6" fillId="0" borderId="0" xfId="15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21" applyFont="1" applyAlignment="1" applyProtection="1">
      <alignment horizontal="center"/>
      <protection locked="0"/>
    </xf>
    <xf numFmtId="172" fontId="3" fillId="0" borderId="0" xfId="21" applyFont="1" applyAlignment="1">
      <alignment/>
    </xf>
    <xf numFmtId="0" fontId="8" fillId="0" borderId="2" xfId="0" applyNumberFormat="1" applyFont="1" applyBorder="1" applyAlignment="1">
      <alignment/>
    </xf>
    <xf numFmtId="0" fontId="6" fillId="0" borderId="3" xfId="21" applyNumberFormat="1" applyFont="1" applyBorder="1" applyProtection="1">
      <alignment/>
      <protection locked="0"/>
    </xf>
    <xf numFmtId="172" fontId="6" fillId="0" borderId="3" xfId="21" applyFont="1" applyBorder="1" applyAlignment="1">
      <alignment/>
    </xf>
    <xf numFmtId="1" fontId="6" fillId="0" borderId="3" xfId="21" applyNumberFormat="1" applyFont="1" applyBorder="1" applyAlignment="1" applyProtection="1">
      <alignment horizontal="center"/>
      <protection locked="0"/>
    </xf>
    <xf numFmtId="172" fontId="6" fillId="0" borderId="3" xfId="21" applyFont="1" applyBorder="1" applyAlignment="1" applyProtection="1">
      <alignment/>
      <protection locked="0"/>
    </xf>
    <xf numFmtId="170" fontId="8" fillId="0" borderId="4" xfId="21" applyNumberFormat="1" applyFont="1" applyBorder="1" applyAlignment="1" applyProtection="1">
      <alignment/>
      <protection locked="0"/>
    </xf>
    <xf numFmtId="170" fontId="6" fillId="0" borderId="5" xfId="21" applyNumberFormat="1" applyFont="1" applyBorder="1" applyAlignment="1" applyProtection="1">
      <alignment/>
      <protection locked="0"/>
    </xf>
    <xf numFmtId="172" fontId="6" fillId="0" borderId="0" xfId="21" applyFont="1" applyBorder="1" applyAlignment="1" applyProtection="1">
      <alignment/>
      <protection locked="0"/>
    </xf>
    <xf numFmtId="170" fontId="6" fillId="0" borderId="0" xfId="21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15" applyFont="1" applyAlignment="1">
      <alignment/>
    </xf>
    <xf numFmtId="172" fontId="6" fillId="0" borderId="0" xfId="2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21" applyNumberFormat="1" applyFont="1" applyFill="1">
      <alignment/>
    </xf>
    <xf numFmtId="0" fontId="3" fillId="0" borderId="0" xfId="21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21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21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73" fontId="6" fillId="0" borderId="0" xfId="15" applyNumberFormat="1" applyFont="1" applyAlignment="1">
      <alignment/>
    </xf>
    <xf numFmtId="0" fontId="6" fillId="0" borderId="3" xfId="0" applyFont="1" applyBorder="1" applyAlignment="1">
      <alignment/>
    </xf>
    <xf numFmtId="174" fontId="8" fillId="0" borderId="4" xfId="17" applyNumberFormat="1" applyFont="1" applyBorder="1" applyAlignment="1">
      <alignment/>
    </xf>
    <xf numFmtId="173" fontId="6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0" fontId="3" fillId="0" borderId="0" xfId="21" applyNumberFormat="1" applyFont="1" applyFill="1" applyProtection="1">
      <alignment/>
      <protection locked="0"/>
    </xf>
    <xf numFmtId="0" fontId="6" fillId="0" borderId="0" xfId="21" applyNumberFormat="1" applyFont="1" applyFill="1" applyProtection="1">
      <alignment/>
      <protection locked="0"/>
    </xf>
    <xf numFmtId="0" fontId="3" fillId="0" borderId="0" xfId="21" applyNumberFormat="1" applyFont="1" applyFill="1">
      <alignment/>
    </xf>
    <xf numFmtId="172" fontId="3" fillId="0" borderId="0" xfId="21" applyFont="1" applyFill="1" applyAlignment="1">
      <alignment/>
    </xf>
    <xf numFmtId="0" fontId="6" fillId="0" borderId="0" xfId="21" applyNumberFormat="1" applyFont="1" applyBorder="1" applyProtection="1">
      <alignment/>
      <protection locked="0"/>
    </xf>
    <xf numFmtId="170" fontId="6" fillId="0" borderId="7" xfId="21" applyNumberFormat="1" applyFont="1" applyBorder="1" applyAlignment="1" applyProtection="1">
      <alignment/>
      <protection locked="0"/>
    </xf>
    <xf numFmtId="0" fontId="6" fillId="0" borderId="2" xfId="0" applyNumberFormat="1" applyFont="1" applyBorder="1" applyAlignment="1">
      <alignment/>
    </xf>
    <xf numFmtId="170" fontId="6" fillId="0" borderId="4" xfId="21" applyNumberFormat="1" applyFont="1" applyBorder="1" applyAlignment="1" applyProtection="1">
      <alignment/>
      <protection locked="0"/>
    </xf>
    <xf numFmtId="173" fontId="10" fillId="3" borderId="0" xfId="15" applyNumberFormat="1" applyFont="1" applyFill="1" applyAlignment="1">
      <alignment/>
    </xf>
    <xf numFmtId="0" fontId="6" fillId="0" borderId="0" xfId="21" applyNumberFormat="1" applyFont="1" applyAlignment="1">
      <alignment/>
    </xf>
    <xf numFmtId="170" fontId="6" fillId="0" borderId="7" xfId="21" applyNumberFormat="1" applyFont="1" applyBorder="1" applyAlignment="1">
      <alignment/>
    </xf>
    <xf numFmtId="178" fontId="10" fillId="3" borderId="0" xfId="15" applyNumberFormat="1" applyFont="1" applyFill="1" applyAlignment="1" applyProtection="1">
      <alignment/>
      <protection locked="0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6" fillId="0" borderId="0" xfId="21" applyNumberFormat="1" applyFont="1" applyFill="1" applyAlignment="1" applyProtection="1">
      <alignment horizontal="center"/>
      <protection locked="0"/>
    </xf>
    <xf numFmtId="1" fontId="6" fillId="0" borderId="0" xfId="21" applyNumberFormat="1" applyFont="1" applyFill="1" applyAlignment="1" applyProtection="1">
      <alignment horizontal="center"/>
      <protection locked="0"/>
    </xf>
    <xf numFmtId="172" fontId="6" fillId="0" borderId="0" xfId="21" applyFont="1" applyFill="1" applyAlignment="1" applyProtection="1">
      <alignment/>
      <protection locked="0"/>
    </xf>
    <xf numFmtId="172" fontId="11" fillId="0" borderId="2" xfId="21" applyFont="1" applyBorder="1" applyAlignment="1">
      <alignment/>
    </xf>
    <xf numFmtId="195" fontId="6" fillId="0" borderId="0" xfId="21" applyNumberFormat="1" applyFont="1" applyAlignment="1">
      <alignment/>
    </xf>
    <xf numFmtId="172" fontId="6" fillId="0" borderId="0" xfId="21" applyNumberFormat="1" applyFont="1" applyAlignment="1">
      <alignment/>
    </xf>
    <xf numFmtId="170" fontId="6" fillId="0" borderId="0" xfId="15" applyNumberFormat="1" applyFont="1" applyAlignment="1">
      <alignment/>
    </xf>
    <xf numFmtId="170" fontId="6" fillId="0" borderId="0" xfId="21" applyNumberFormat="1" applyFont="1" applyFill="1" applyAlignment="1">
      <alignment/>
    </xf>
    <xf numFmtId="170" fontId="6" fillId="0" borderId="0" xfId="21" applyNumberFormat="1" applyFont="1" applyFill="1" applyAlignment="1" applyProtection="1">
      <alignment/>
      <protection locked="0"/>
    </xf>
    <xf numFmtId="170" fontId="6" fillId="0" borderId="5" xfId="21" applyNumberFormat="1" applyFont="1" applyFill="1" applyBorder="1" applyAlignment="1" applyProtection="1">
      <alignment/>
      <protection locked="0"/>
    </xf>
    <xf numFmtId="170" fontId="6" fillId="0" borderId="0" xfId="21" applyNumberFormat="1" applyFont="1" applyBorder="1" applyProtection="1">
      <alignment/>
      <protection locked="0"/>
    </xf>
    <xf numFmtId="170" fontId="10" fillId="3" borderId="0" xfId="15" applyNumberFormat="1" applyFont="1" applyFill="1" applyAlignment="1">
      <alignment/>
    </xf>
    <xf numFmtId="170" fontId="6" fillId="0" borderId="0" xfId="21" applyNumberFormat="1" applyFont="1" applyFill="1" applyBorder="1" applyAlignment="1" applyProtection="1">
      <alignment/>
      <protection locked="0"/>
    </xf>
    <xf numFmtId="170" fontId="6" fillId="0" borderId="7" xfId="21" applyNumberFormat="1" applyFont="1" applyFill="1" applyBorder="1" applyAlignment="1" applyProtection="1">
      <alignment/>
      <protection locked="0"/>
    </xf>
    <xf numFmtId="170" fontId="6" fillId="0" borderId="7" xfId="21" applyNumberFormat="1" applyFont="1" applyFill="1" applyBorder="1" applyAlignment="1">
      <alignment/>
    </xf>
    <xf numFmtId="170" fontId="6" fillId="0" borderId="0" xfId="15" applyNumberFormat="1" applyFont="1" applyAlignment="1" applyProtection="1">
      <alignment/>
      <protection locked="0"/>
    </xf>
    <xf numFmtId="170" fontId="6" fillId="0" borderId="0" xfId="15" applyNumberFormat="1" applyFont="1" applyFill="1" applyAlignment="1" applyProtection="1">
      <alignment/>
      <protection locked="0"/>
    </xf>
    <xf numFmtId="170" fontId="6" fillId="0" borderId="7" xfId="15" applyNumberFormat="1" applyFont="1" applyBorder="1" applyAlignment="1" applyProtection="1">
      <alignment/>
      <protection locked="0"/>
    </xf>
    <xf numFmtId="170" fontId="6" fillId="0" borderId="7" xfId="15" applyNumberFormat="1" applyFont="1" applyFill="1" applyBorder="1" applyAlignment="1" applyProtection="1">
      <alignment/>
      <protection locked="0"/>
    </xf>
    <xf numFmtId="170" fontId="6" fillId="0" borderId="7" xfId="15" applyNumberFormat="1" applyFont="1" applyBorder="1" applyAlignment="1">
      <alignment/>
    </xf>
    <xf numFmtId="170" fontId="10" fillId="3" borderId="0" xfId="15" applyNumberFormat="1" applyFont="1" applyFill="1" applyBorder="1" applyAlignment="1" applyProtection="1">
      <alignment/>
      <protection locked="0"/>
    </xf>
    <xf numFmtId="170" fontId="10" fillId="3" borderId="7" xfId="15" applyNumberFormat="1" applyFont="1" applyFill="1" applyBorder="1" applyAlignment="1" applyProtection="1">
      <alignment/>
      <protection locked="0"/>
    </xf>
    <xf numFmtId="170" fontId="6" fillId="0" borderId="0" xfId="15" applyNumberFormat="1" applyFont="1" applyFill="1" applyAlignment="1">
      <alignment/>
    </xf>
    <xf numFmtId="170" fontId="6" fillId="0" borderId="0" xfId="15" applyNumberFormat="1" applyFont="1" applyBorder="1" applyAlignment="1" applyProtection="1">
      <alignment/>
      <protection locked="0"/>
    </xf>
    <xf numFmtId="170" fontId="10" fillId="3" borderId="7" xfId="15" applyNumberFormat="1" applyFont="1" applyFill="1" applyBorder="1" applyAlignment="1">
      <alignment/>
    </xf>
    <xf numFmtId="0" fontId="6" fillId="0" borderId="0" xfId="15" applyNumberFormat="1" applyFont="1" applyAlignment="1">
      <alignment/>
    </xf>
    <xf numFmtId="170" fontId="6" fillId="3" borderId="0" xfId="21" applyNumberFormat="1" applyFont="1" applyFill="1" applyAlignment="1">
      <alignment/>
    </xf>
    <xf numFmtId="170" fontId="6" fillId="3" borderId="0" xfId="15" applyNumberFormat="1" applyFont="1" applyFill="1" applyAlignment="1" applyProtection="1">
      <alignment/>
      <protection locked="0"/>
    </xf>
    <xf numFmtId="170" fontId="6" fillId="3" borderId="0" xfId="15" applyNumberFormat="1" applyFont="1" applyFill="1" applyBorder="1" applyAlignment="1" applyProtection="1">
      <alignment/>
      <protection locked="0"/>
    </xf>
    <xf numFmtId="170" fontId="6" fillId="0" borderId="1" xfId="21" applyNumberFormat="1" applyFont="1" applyFill="1" applyBorder="1" applyAlignment="1" applyProtection="1">
      <alignment/>
      <protection locked="0"/>
    </xf>
    <xf numFmtId="170" fontId="6" fillId="0" borderId="1" xfId="21" applyNumberFormat="1" applyFont="1" applyBorder="1" applyAlignment="1" applyProtection="1">
      <alignment/>
      <protection locked="0"/>
    </xf>
    <xf numFmtId="9" fontId="6" fillId="0" borderId="0" xfId="22" applyFont="1" applyAlignment="1">
      <alignment/>
    </xf>
    <xf numFmtId="172" fontId="8" fillId="0" borderId="0" xfId="21" applyFont="1" applyAlignment="1">
      <alignment/>
    </xf>
    <xf numFmtId="0" fontId="6" fillId="0" borderId="0" xfId="21" applyNumberFormat="1" applyFont="1" applyAlignment="1" applyProtection="1">
      <alignment vertical="center"/>
      <protection locked="0"/>
    </xf>
    <xf numFmtId="0" fontId="8" fillId="0" borderId="0" xfId="21" applyNumberFormat="1" applyFont="1" applyAlignment="1" applyProtection="1">
      <alignment horizontal="center" vertical="center" wrapText="1"/>
      <protection locked="0"/>
    </xf>
    <xf numFmtId="0" fontId="8" fillId="0" borderId="0" xfId="21" applyNumberFormat="1" applyFont="1" applyAlignment="1" applyProtection="1">
      <alignment horizontal="center" vertical="center"/>
      <protection locked="0"/>
    </xf>
    <xf numFmtId="172" fontId="8" fillId="0" borderId="0" xfId="21" applyFont="1" applyAlignment="1">
      <alignment horizontal="center" vertical="center" wrapText="1"/>
    </xf>
    <xf numFmtId="172" fontId="6" fillId="0" borderId="0" xfId="21" applyFont="1" applyAlignment="1">
      <alignment vertical="center"/>
    </xf>
    <xf numFmtId="172" fontId="6" fillId="0" borderId="0" xfId="21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70" fontId="10" fillId="3" borderId="0" xfId="15" applyNumberFormat="1" applyFont="1" applyFill="1" applyAlignment="1" applyProtection="1">
      <alignment/>
      <protection locked="0"/>
    </xf>
    <xf numFmtId="170" fontId="10" fillId="0" borderId="0" xfId="15" applyNumberFormat="1" applyFont="1" applyFill="1" applyAlignment="1" applyProtection="1">
      <alignment/>
      <protection locked="0"/>
    </xf>
    <xf numFmtId="170" fontId="10" fillId="0" borderId="0" xfId="21" applyNumberFormat="1" applyFont="1" applyFill="1" applyAlignment="1">
      <alignment/>
    </xf>
    <xf numFmtId="10" fontId="6" fillId="0" borderId="0" xfId="22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21" applyNumberFormat="1" applyFont="1" applyAlignment="1" applyProtection="1">
      <alignment horizontal="center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N1 Ratebase Draft SPP template (6-11-04) v2" xfId="21"/>
    <cellStyle name="Percent" xfId="22"/>
    <cellStyle name="PSChar" xfId="23"/>
    <cellStyle name="PSDate" xfId="24"/>
    <cellStyle name="PSDec" xfId="25"/>
    <cellStyle name="PSHeading" xfId="26"/>
    <cellStyle name="PSInt" xfId="27"/>
    <cellStyle name="PSSpacer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Appalachian%20Trans%20Company%20FR%20Updat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_Indiana%20Michigan%20Trans%20Company%20FR%20Updat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_Kentucky%20Trans%20Company%20FR%20Updat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_Ohio%20Trans%20CoFR%20Update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_West%20Virginia%20Trans%20Company%20FR%20Update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TransCo%20NITS%20Attach%20C%20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Jan-Jun 2011 PJM Zonal Rates"/>
      <sheetName val="Jul-Dec 2011 PJM Zonal Rates"/>
      <sheetName val="2011 True-up Actual Histor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80"/>
  <sheetViews>
    <sheetView tabSelected="1" zoomScale="75" zoomScaleNormal="75" workbookViewId="0" topLeftCell="A1">
      <selection activeCell="M29" sqref="M29"/>
    </sheetView>
  </sheetViews>
  <sheetFormatPr defaultColWidth="8.851562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2.7109375" style="1" customWidth="1"/>
    <col min="9" max="9" width="20.85156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19.003906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8"/>
      <c r="X1" s="65">
        <v>2012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.75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5">
      <c r="A4" s="118" t="str">
        <f>"Including Costs through December 31, "&amp;X1-1&amp;""</f>
        <v>Including Costs through December 31, 2011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5">
      <c r="A5" s="119" t="str">
        <f>"For charges effective July 1, "&amp;X1&amp;""</f>
        <v>For charges effective July 1, 2012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.75">
      <c r="A8" s="120" t="s">
        <v>47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3">
      <c r="B10" s="6"/>
      <c r="C10" s="7"/>
      <c r="D10" s="5"/>
      <c r="E10" s="5"/>
      <c r="F10" s="8"/>
      <c r="G10" s="10"/>
      <c r="H10" s="5"/>
      <c r="I10" s="106" t="s">
        <v>51</v>
      </c>
      <c r="J10" s="103"/>
      <c r="K10" s="104" t="s">
        <v>36</v>
      </c>
      <c r="L10" s="105"/>
      <c r="M10" s="106" t="s">
        <v>39</v>
      </c>
      <c r="N10" s="107"/>
      <c r="O10" s="106" t="s">
        <v>38</v>
      </c>
      <c r="P10" s="107"/>
      <c r="Q10" s="106" t="s">
        <v>34</v>
      </c>
      <c r="R10" s="107"/>
      <c r="S10" s="106" t="s">
        <v>37</v>
      </c>
    </row>
    <row r="11" spans="2:19" ht="15.75">
      <c r="B11" s="6" t="s">
        <v>0</v>
      </c>
      <c r="C11" s="7"/>
      <c r="D11" s="5"/>
      <c r="E11" s="5"/>
      <c r="F11" s="5"/>
      <c r="G11" s="10"/>
      <c r="H11" s="5"/>
      <c r="I11" s="11" t="s">
        <v>35</v>
      </c>
      <c r="J11" s="5"/>
      <c r="K11" s="12" t="s">
        <v>35</v>
      </c>
      <c r="L11" s="12"/>
      <c r="M11" s="12" t="s">
        <v>35</v>
      </c>
      <c r="O11" s="12" t="s">
        <v>35</v>
      </c>
      <c r="Q11" s="12" t="s">
        <v>35</v>
      </c>
      <c r="S11" s="12" t="s">
        <v>35</v>
      </c>
    </row>
    <row r="12" spans="2:19" ht="16.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.7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.75">
      <c r="A15" s="11"/>
      <c r="B15" s="15">
        <v>1</v>
      </c>
      <c r="C15" s="14"/>
      <c r="D15" s="17" t="s">
        <v>5</v>
      </c>
      <c r="E15" s="14"/>
      <c r="F15" s="5"/>
      <c r="G15" s="7" t="s">
        <v>30</v>
      </c>
      <c r="H15" s="5"/>
      <c r="I15" s="76">
        <f>SUM(Q15,K15,S15,O15,M15,)</f>
        <v>30404194.027383897</v>
      </c>
      <c r="J15" s="19"/>
      <c r="K15" s="96">
        <v>111735.62545582725</v>
      </c>
      <c r="L15" s="19"/>
      <c r="M15" s="96">
        <v>2787821.7321247803</v>
      </c>
      <c r="N15" s="18"/>
      <c r="O15" s="96">
        <v>146025.6698377438</v>
      </c>
      <c r="P15" s="18"/>
      <c r="Q15" s="96">
        <v>27235255.354035955</v>
      </c>
      <c r="R15" s="18"/>
      <c r="S15" s="96">
        <v>123355.6459295918</v>
      </c>
    </row>
    <row r="16" spans="1:21" ht="15.75">
      <c r="A16" s="11"/>
      <c r="B16" s="15"/>
      <c r="C16" s="14"/>
      <c r="D16" s="17"/>
      <c r="E16" s="14"/>
      <c r="F16" s="5"/>
      <c r="G16" s="5"/>
      <c r="H16" s="5"/>
      <c r="I16" s="76"/>
      <c r="J16" s="19"/>
      <c r="K16" s="77"/>
      <c r="L16" s="19"/>
      <c r="M16" s="18"/>
      <c r="N16" s="18"/>
      <c r="O16" s="18"/>
      <c r="P16" s="18"/>
      <c r="Q16" s="18"/>
      <c r="R16" s="18"/>
      <c r="S16" s="77"/>
      <c r="U16" s="101"/>
    </row>
    <row r="17" spans="1:19" ht="15.7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31</v>
      </c>
      <c r="H17" s="5"/>
      <c r="I17" s="76">
        <f>SUM(Q17,K17,S17,O17,M17,)</f>
        <v>0</v>
      </c>
      <c r="J17" s="19"/>
      <c r="K17" s="96">
        <v>0</v>
      </c>
      <c r="L17" s="19"/>
      <c r="M17" s="96">
        <v>0</v>
      </c>
      <c r="N17" s="18"/>
      <c r="O17" s="96">
        <v>0</v>
      </c>
      <c r="P17" s="18"/>
      <c r="Q17" s="96">
        <v>0</v>
      </c>
      <c r="R17" s="18"/>
      <c r="S17" s="96">
        <v>0</v>
      </c>
    </row>
    <row r="18" spans="1:19" ht="15.75">
      <c r="A18" s="11"/>
      <c r="B18" s="16"/>
      <c r="C18" s="14"/>
      <c r="D18" s="5"/>
      <c r="E18" s="14"/>
      <c r="F18" s="5"/>
      <c r="G18" s="5"/>
      <c r="H18" s="5"/>
      <c r="I18" s="66"/>
      <c r="J18" s="19"/>
      <c r="K18" s="84"/>
      <c r="L18" s="19"/>
      <c r="M18" s="66"/>
      <c r="N18" s="18"/>
      <c r="O18" s="66"/>
      <c r="P18" s="18"/>
      <c r="Q18" s="66"/>
      <c r="R18" s="18"/>
      <c r="S18" s="84"/>
    </row>
    <row r="19" spans="2:19" ht="33.75" customHeight="1">
      <c r="B19" s="6">
        <f>+B17+1</f>
        <v>3</v>
      </c>
      <c r="C19" s="7"/>
      <c r="D19" s="115" t="s">
        <v>40</v>
      </c>
      <c r="E19" s="116"/>
      <c r="F19" s="20"/>
      <c r="G19" s="7" t="s">
        <v>32</v>
      </c>
      <c r="H19" s="3"/>
      <c r="I19" s="18">
        <f>SUM(Q19,K19,S19,O19,M19,)</f>
        <v>30404194.027383897</v>
      </c>
      <c r="J19" s="21"/>
      <c r="K19" s="78">
        <f>+K15-K17</f>
        <v>111735.62545582725</v>
      </c>
      <c r="L19" s="21"/>
      <c r="M19" s="21">
        <f>+M15-M17</f>
        <v>2787821.7321247803</v>
      </c>
      <c r="N19" s="18"/>
      <c r="O19" s="21">
        <f>+O15-O17</f>
        <v>146025.6698377438</v>
      </c>
      <c r="P19" s="18"/>
      <c r="Q19" s="21">
        <f>+Q15-Q17</f>
        <v>27235255.354035955</v>
      </c>
      <c r="R19" s="18"/>
      <c r="S19" s="78">
        <f>+S15-S17</f>
        <v>123355.6459295918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8"/>
      <c r="L20" s="21"/>
      <c r="M20" s="21"/>
      <c r="N20" s="18"/>
      <c r="O20" s="21"/>
      <c r="P20" s="18"/>
      <c r="Q20" s="21"/>
      <c r="R20" s="18"/>
      <c r="S20" s="78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7"/>
      <c r="L21" s="21"/>
      <c r="M21" s="18"/>
      <c r="N21" s="18"/>
      <c r="O21" s="18"/>
      <c r="P21" s="18"/>
      <c r="Q21" s="18"/>
      <c r="R21" s="18"/>
      <c r="S21" s="77"/>
    </row>
    <row r="22" spans="2:19" ht="15">
      <c r="B22" s="6">
        <f>+B21+1</f>
        <v>5</v>
      </c>
      <c r="C22" s="7"/>
      <c r="D22" s="17" t="s">
        <v>41</v>
      </c>
      <c r="E22" s="5"/>
      <c r="F22" s="20"/>
      <c r="G22" s="7" t="s">
        <v>33</v>
      </c>
      <c r="H22" s="3"/>
      <c r="I22" s="18">
        <f>SUM(Q22,K22,S22,O22,M22,)</f>
        <v>1789831.3777302383</v>
      </c>
      <c r="J22" s="21"/>
      <c r="K22" s="97">
        <v>0</v>
      </c>
      <c r="L22" s="85"/>
      <c r="M22" s="97">
        <v>655785.8558806134</v>
      </c>
      <c r="N22" s="18"/>
      <c r="O22" s="96">
        <v>0</v>
      </c>
      <c r="P22" s="18"/>
      <c r="Q22" s="96">
        <v>1134045.5218496248</v>
      </c>
      <c r="R22" s="18"/>
      <c r="S22" s="96">
        <v>0</v>
      </c>
    </row>
    <row r="23" spans="2:19" ht="15">
      <c r="B23" s="42">
        <f>+B22+1</f>
        <v>6</v>
      </c>
      <c r="C23" s="70"/>
      <c r="D23" s="35" t="s">
        <v>42</v>
      </c>
      <c r="E23" s="57"/>
      <c r="F23" s="71"/>
      <c r="G23" s="70" t="str">
        <f>"(Worksheet J)"</f>
        <v>(Worksheet J)</v>
      </c>
      <c r="H23" s="72"/>
      <c r="I23" s="66">
        <f>SUM(Q23,K23,S23,O23,M23,)</f>
        <v>0</v>
      </c>
      <c r="J23" s="21"/>
      <c r="K23" s="88">
        <v>0</v>
      </c>
      <c r="L23" s="85"/>
      <c r="M23" s="87">
        <v>0</v>
      </c>
      <c r="N23" s="18"/>
      <c r="O23" s="87">
        <v>0</v>
      </c>
      <c r="P23" s="18"/>
      <c r="Q23" s="87">
        <v>0</v>
      </c>
      <c r="R23" s="18"/>
      <c r="S23" s="88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5">
        <f>+I23+I22</f>
        <v>1789831.3777302383</v>
      </c>
      <c r="J24" s="21"/>
      <c r="K24" s="86">
        <f>+K23+K22</f>
        <v>0</v>
      </c>
      <c r="L24" s="85"/>
      <c r="M24" s="85">
        <f>+M23+M22</f>
        <v>655785.8558806134</v>
      </c>
      <c r="N24" s="18"/>
      <c r="O24" s="85">
        <f>+O23+O22</f>
        <v>0</v>
      </c>
      <c r="P24" s="18"/>
      <c r="Q24" s="85">
        <f>+Q23+Q22</f>
        <v>1134045.5218496248</v>
      </c>
      <c r="R24" s="18"/>
      <c r="S24" s="86">
        <f>+S23+S22</f>
        <v>0</v>
      </c>
    </row>
    <row r="25" spans="2:19" ht="15">
      <c r="B25" s="6"/>
      <c r="C25" s="7"/>
      <c r="D25" s="17"/>
      <c r="E25" s="5"/>
      <c r="F25" s="20"/>
      <c r="G25" s="3"/>
      <c r="H25" s="3"/>
      <c r="I25" s="89"/>
      <c r="J25" s="21"/>
      <c r="K25" s="88"/>
      <c r="L25" s="85"/>
      <c r="M25" s="87"/>
      <c r="N25" s="18"/>
      <c r="O25" s="87"/>
      <c r="P25" s="18"/>
      <c r="Q25" s="87"/>
      <c r="R25" s="18"/>
      <c r="S25" s="88"/>
    </row>
    <row r="26" spans="2:19" ht="15">
      <c r="B26" s="6">
        <f>+B24+1</f>
        <v>8</v>
      </c>
      <c r="C26" s="7"/>
      <c r="D26" s="17" t="s">
        <v>43</v>
      </c>
      <c r="E26" s="5"/>
      <c r="G26" s="20" t="str">
        <f>"(Ln "&amp;B19&amp;"- Ln "&amp;B24&amp;")"</f>
        <v>(Ln 3- Ln 7)</v>
      </c>
      <c r="H26" s="3"/>
      <c r="I26" s="18">
        <f>SUM(Q26,K26,S26,O26,M26,)</f>
        <v>28614362.64965366</v>
      </c>
      <c r="J26" s="21"/>
      <c r="K26" s="86">
        <f>+K19-K24</f>
        <v>111735.62545582725</v>
      </c>
      <c r="L26" s="85"/>
      <c r="M26" s="85">
        <f>+M19-M24</f>
        <v>2132035.876244167</v>
      </c>
      <c r="N26" s="18"/>
      <c r="O26" s="85">
        <f>+O19-O24</f>
        <v>146025.6698377438</v>
      </c>
      <c r="P26" s="18"/>
      <c r="Q26" s="85">
        <f>+Q19-Q24</f>
        <v>26101209.83218633</v>
      </c>
      <c r="R26" s="18"/>
      <c r="S26" s="86">
        <f>+S19-S24</f>
        <v>123355.6459295918</v>
      </c>
    </row>
    <row r="27" spans="2:19" ht="15">
      <c r="B27" s="1"/>
      <c r="C27" s="7"/>
      <c r="E27" s="5"/>
      <c r="G27" s="3"/>
      <c r="H27" s="3"/>
      <c r="I27" s="18"/>
      <c r="J27" s="21"/>
      <c r="K27" s="77"/>
      <c r="L27" s="18"/>
      <c r="M27" s="18"/>
      <c r="N27" s="18"/>
      <c r="O27" s="18"/>
      <c r="P27" s="18"/>
      <c r="Q27" s="18"/>
      <c r="R27" s="18"/>
      <c r="S27" s="77"/>
    </row>
    <row r="28" spans="2:19" ht="15">
      <c r="B28" s="6">
        <f>+B26+1</f>
        <v>9</v>
      </c>
      <c r="C28" s="7"/>
      <c r="D28" s="17" t="s">
        <v>44</v>
      </c>
      <c r="E28" s="5"/>
      <c r="F28" s="20"/>
      <c r="G28" s="7" t="str">
        <f>"(Worksheet J)"</f>
        <v>(Worksheet J)</v>
      </c>
      <c r="H28" s="3"/>
      <c r="I28" s="76">
        <f>SUM(Q28,K28,S28,O28,M28,)</f>
        <v>0</v>
      </c>
      <c r="J28" s="21"/>
      <c r="K28" s="98">
        <v>0</v>
      </c>
      <c r="L28" s="85"/>
      <c r="M28" s="97">
        <v>0</v>
      </c>
      <c r="N28" s="18"/>
      <c r="O28" s="97">
        <v>0</v>
      </c>
      <c r="P28" s="18"/>
      <c r="Q28" s="97">
        <v>0</v>
      </c>
      <c r="R28" s="18"/>
      <c r="S28" s="97">
        <v>0</v>
      </c>
    </row>
    <row r="29" spans="2:19" ht="15">
      <c r="B29" s="6"/>
      <c r="C29" s="7"/>
      <c r="D29" s="17"/>
      <c r="E29" s="5"/>
      <c r="F29" s="20"/>
      <c r="G29" s="3"/>
      <c r="H29" s="3"/>
      <c r="I29" s="89"/>
      <c r="J29" s="21"/>
      <c r="K29" s="88"/>
      <c r="L29" s="85"/>
      <c r="M29" s="87"/>
      <c r="N29" s="18"/>
      <c r="O29" s="87"/>
      <c r="P29" s="18"/>
      <c r="Q29" s="87"/>
      <c r="R29" s="18"/>
      <c r="S29" s="88"/>
    </row>
    <row r="30" spans="2:19" ht="15">
      <c r="B30" s="6">
        <f>+B28+1</f>
        <v>10</v>
      </c>
      <c r="C30" s="7"/>
      <c r="D30" s="17" t="s">
        <v>45</v>
      </c>
      <c r="E30" s="5"/>
      <c r="G30" s="20" t="str">
        <f>"(Ln "&amp;B26&amp;" + Ln "&amp;B28&amp;")"</f>
        <v>(Ln 8 + Ln 9)</v>
      </c>
      <c r="H30" s="3"/>
      <c r="I30" s="76">
        <f>+I26+I28</f>
        <v>28614362.64965366</v>
      </c>
      <c r="J30" s="21"/>
      <c r="K30" s="86">
        <f>+K26+K28</f>
        <v>111735.62545582725</v>
      </c>
      <c r="L30" s="85"/>
      <c r="M30" s="85">
        <f>+M26+M28</f>
        <v>2132035.876244167</v>
      </c>
      <c r="N30" s="18"/>
      <c r="O30" s="85">
        <f>+O26+O28</f>
        <v>146025.6698377438</v>
      </c>
      <c r="P30" s="18"/>
      <c r="Q30" s="85">
        <f>+Q26+Q28</f>
        <v>26101209.83218633</v>
      </c>
      <c r="R30" s="18"/>
      <c r="S30" s="86">
        <f>+S26+S28</f>
        <v>123355.6459295918</v>
      </c>
    </row>
    <row r="31" spans="9:19" ht="15">
      <c r="I31" s="18"/>
      <c r="J31" s="18"/>
      <c r="K31" s="77"/>
      <c r="L31" s="18"/>
      <c r="M31" s="18"/>
      <c r="N31" s="18"/>
      <c r="O31" s="18"/>
      <c r="P31" s="18"/>
      <c r="Q31" s="18"/>
      <c r="R31" s="18"/>
      <c r="S31" s="77"/>
    </row>
    <row r="32" spans="2:19" ht="15">
      <c r="B32" s="6">
        <f>+B30+1</f>
        <v>11</v>
      </c>
      <c r="C32" s="7"/>
      <c r="D32" s="17" t="str">
        <f>"BILLED HISTORICAL YEAR ("&amp;X1-1&amp;") ACTUAL ATRR"</f>
        <v>BILLED HISTORICAL YEAR (2011) ACTUAL ATRR</v>
      </c>
      <c r="E32" s="5"/>
      <c r="F32" s="20"/>
      <c r="G32" s="24" t="str">
        <f>"Input from "&amp;X1-1&amp;" True-up"</f>
        <v>Input from 2011 True-up</v>
      </c>
      <c r="H32" s="3"/>
      <c r="I32" s="76">
        <f>SUM(Q32,K32,S32,O32,M32,)</f>
        <v>5835076.20475</v>
      </c>
      <c r="J32" s="21"/>
      <c r="K32" s="90">
        <v>660176.6196661332</v>
      </c>
      <c r="L32" s="85"/>
      <c r="M32" s="90">
        <v>654414.9289047522</v>
      </c>
      <c r="N32" s="18"/>
      <c r="O32" s="90">
        <v>35796.85836198586</v>
      </c>
      <c r="P32" s="18"/>
      <c r="Q32" s="90">
        <v>3958079.1169858295</v>
      </c>
      <c r="R32" s="18"/>
      <c r="S32" s="90">
        <v>526608.6808312988</v>
      </c>
    </row>
    <row r="33" spans="2:19" ht="15">
      <c r="B33" s="6">
        <f>+B32+1</f>
        <v>12</v>
      </c>
      <c r="C33" s="7"/>
      <c r="D33" s="17" t="str">
        <f>"BILLED PROJECTED ("&amp;X1-1&amp;") ATRR FROM PRIOR YEAR"</f>
        <v>BILLED PROJECTED (2011) ATRR FROM PRIOR YEAR</v>
      </c>
      <c r="E33" s="5"/>
      <c r="F33" s="20"/>
      <c r="G33" s="24" t="s">
        <v>10</v>
      </c>
      <c r="H33" s="3"/>
      <c r="I33" s="89">
        <f>SUM(Q33,K33,S33,O33,M33,)</f>
        <v>7629594.270999999</v>
      </c>
      <c r="J33" s="21"/>
      <c r="K33" s="91">
        <v>326178.7286014602</v>
      </c>
      <c r="L33" s="85"/>
      <c r="M33" s="91">
        <v>813436.9941969125</v>
      </c>
      <c r="N33" s="18"/>
      <c r="O33" s="91">
        <v>64639.2627182223</v>
      </c>
      <c r="P33" s="18"/>
      <c r="Q33" s="91">
        <v>6137847.892877435</v>
      </c>
      <c r="R33" s="18"/>
      <c r="S33" s="91">
        <v>287491.39260596904</v>
      </c>
    </row>
    <row r="34" spans="2:19" ht="15">
      <c r="B34" s="6">
        <f>+B33+1</f>
        <v>13</v>
      </c>
      <c r="C34" s="7"/>
      <c r="D34" s="17" t="s">
        <v>11</v>
      </c>
      <c r="E34" s="5"/>
      <c r="F34" s="20"/>
      <c r="G34" s="20" t="str">
        <f>"(Ln "&amp;B32&amp;" - Ln "&amp;B33&amp;")"</f>
        <v>(Ln 11 - Ln 12)</v>
      </c>
      <c r="H34" s="3"/>
      <c r="I34" s="76">
        <f>I32-I33</f>
        <v>-1794518.0662499992</v>
      </c>
      <c r="J34" s="21"/>
      <c r="K34" s="92">
        <f>K32-K33</f>
        <v>333997.89106467296</v>
      </c>
      <c r="L34" s="85"/>
      <c r="M34" s="76">
        <f>M32-M33</f>
        <v>-159022.06529216026</v>
      </c>
      <c r="N34" s="18"/>
      <c r="O34" s="76">
        <f>O32-O33</f>
        <v>-28842.40435623644</v>
      </c>
      <c r="P34" s="18"/>
      <c r="Q34" s="76">
        <f>Q32-Q33</f>
        <v>-2179768.7758916058</v>
      </c>
      <c r="R34" s="18"/>
      <c r="S34" s="92">
        <f>S32-S33</f>
        <v>239117.28822532977</v>
      </c>
    </row>
    <row r="35" spans="5:19" ht="15">
      <c r="E35" s="5"/>
      <c r="F35" s="20"/>
      <c r="G35" s="3"/>
      <c r="H35" s="3"/>
      <c r="I35" s="76"/>
      <c r="J35" s="21"/>
      <c r="K35" s="86"/>
      <c r="L35" s="85"/>
      <c r="M35" s="85"/>
      <c r="N35" s="18"/>
      <c r="O35" s="85"/>
      <c r="P35" s="18"/>
      <c r="Q35" s="85"/>
      <c r="R35" s="18"/>
      <c r="S35" s="86"/>
    </row>
    <row r="36" spans="2:19" ht="15">
      <c r="B36" s="6">
        <f>+B34+1</f>
        <v>14</v>
      </c>
      <c r="C36" s="7"/>
      <c r="D36" s="17" t="s">
        <v>12</v>
      </c>
      <c r="E36" s="5"/>
      <c r="F36" s="20"/>
      <c r="G36" s="3"/>
      <c r="H36" s="3"/>
      <c r="I36" s="76">
        <f>SUM(Q36,K36,S36,O36,M36,)</f>
        <v>-54444.1932561649</v>
      </c>
      <c r="J36" s="21"/>
      <c r="K36" s="111">
        <v>-6218.3843615837495</v>
      </c>
      <c r="L36" s="112"/>
      <c r="M36" s="111">
        <v>-6110.630591216803</v>
      </c>
      <c r="N36" s="113"/>
      <c r="O36" s="111">
        <v>-332.05654726400377</v>
      </c>
      <c r="P36" s="113"/>
      <c r="Q36" s="111">
        <v>-36825.83061381264</v>
      </c>
      <c r="R36" s="113"/>
      <c r="S36" s="111">
        <v>-4957.291142287705</v>
      </c>
    </row>
    <row r="37" spans="5:19" ht="15.75" thickBot="1">
      <c r="E37" s="5"/>
      <c r="F37" s="20"/>
      <c r="G37" s="3"/>
      <c r="H37" s="3"/>
      <c r="I37" s="76"/>
      <c r="J37" s="21"/>
      <c r="K37" s="86"/>
      <c r="L37" s="93"/>
      <c r="M37" s="85"/>
      <c r="N37" s="18"/>
      <c r="O37" s="85"/>
      <c r="P37" s="18"/>
      <c r="Q37" s="85"/>
      <c r="R37" s="18"/>
      <c r="S37" s="86"/>
    </row>
    <row r="38" spans="2:19" ht="16.5" thickBot="1">
      <c r="B38" s="6">
        <f>+B36+1</f>
        <v>15</v>
      </c>
      <c r="C38" s="7"/>
      <c r="D38" s="26" t="s">
        <v>46</v>
      </c>
      <c r="E38" s="27"/>
      <c r="F38" s="28"/>
      <c r="G38" s="29" t="str">
        <f>"(Ln "&amp;B30&amp;" + Ln "&amp;B34&amp;" + Ln "&amp;B36&amp;")"</f>
        <v>(Ln 10 + Ln 13 + Ln 14)</v>
      </c>
      <c r="H38" s="30"/>
      <c r="I38" s="31">
        <f>+I30+I34+I36</f>
        <v>26765400.390147492</v>
      </c>
      <c r="J38" s="21"/>
      <c r="K38" s="79">
        <f>+K30+K34+K36</f>
        <v>439515.13215891644</v>
      </c>
      <c r="L38" s="34"/>
      <c r="M38" s="32">
        <f>+M30+M34+M36</f>
        <v>1966903.1803607899</v>
      </c>
      <c r="N38" s="18"/>
      <c r="O38" s="32">
        <f>+O30+O34+O36</f>
        <v>116851.20893424336</v>
      </c>
      <c r="P38" s="18"/>
      <c r="Q38" s="32">
        <f>+Q30+Q34+Q36</f>
        <v>23884615.22568091</v>
      </c>
      <c r="R38" s="18"/>
      <c r="S38" s="79">
        <f>+S30+S34+S36</f>
        <v>357515.64301263384</v>
      </c>
    </row>
    <row r="39" spans="2:19" ht="15">
      <c r="B39" s="6"/>
      <c r="C39" s="7"/>
      <c r="D39" s="17"/>
      <c r="E39" s="5"/>
      <c r="G39" s="20"/>
      <c r="H39" s="3"/>
      <c r="I39" s="34"/>
      <c r="J39" s="3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1:12" ht="15.75">
      <c r="A40" s="11" t="s">
        <v>13</v>
      </c>
      <c r="B40" s="16" t="s">
        <v>14</v>
      </c>
      <c r="C40" s="14"/>
      <c r="D40" s="5"/>
      <c r="E40" s="14"/>
      <c r="F40" s="5"/>
      <c r="G40" s="5"/>
      <c r="H40" s="5"/>
      <c r="J40" s="5"/>
      <c r="L40" s="5"/>
    </row>
    <row r="41" spans="2:19" ht="15">
      <c r="B41" s="6">
        <f>+B38+1</f>
        <v>16</v>
      </c>
      <c r="C41" s="7"/>
      <c r="D41" s="35" t="str">
        <f>""&amp;X1-1&amp;" AEP East Zone Network Service Peak Load (1 CP)"</f>
        <v>2011 AEP East Zone Network Service Peak Load (1 CP)</v>
      </c>
      <c r="E41" s="5"/>
      <c r="F41" s="20"/>
      <c r="G41" s="24"/>
      <c r="H41" s="3"/>
      <c r="I41" s="67">
        <v>24530.8</v>
      </c>
      <c r="J41" s="3" t="s">
        <v>15</v>
      </c>
      <c r="K41" s="21"/>
      <c r="L41" s="3"/>
      <c r="M41" s="21"/>
      <c r="O41" s="21"/>
      <c r="Q41" s="21"/>
      <c r="S41" s="21"/>
    </row>
    <row r="42" spans="1:21" ht="15">
      <c r="A42" s="37"/>
      <c r="B42" s="38"/>
      <c r="C42" s="39"/>
      <c r="D42" s="110" t="s">
        <v>53</v>
      </c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</row>
    <row r="43" spans="1:21" ht="15">
      <c r="A43" s="37"/>
      <c r="B43" s="42">
        <f>+B41+1</f>
        <v>17</v>
      </c>
      <c r="C43" s="39"/>
      <c r="D43" s="35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5">
        <f>ROUND(+I38/I41,4)</f>
        <v>1091.0937</v>
      </c>
      <c r="J43" s="43"/>
      <c r="K43" s="69"/>
      <c r="L43"/>
      <c r="M43"/>
      <c r="N43"/>
      <c r="O43"/>
      <c r="P43"/>
      <c r="Q43" s="68"/>
      <c r="R43"/>
      <c r="S43" s="69"/>
      <c r="T43"/>
      <c r="U43"/>
    </row>
    <row r="44" spans="1:21" ht="15">
      <c r="A44" s="37"/>
      <c r="B44" s="42">
        <f aca="true" t="shared" si="0" ref="B44:B49">+B43+1</f>
        <v>18</v>
      </c>
      <c r="C44" s="39"/>
      <c r="D44" s="35" t="str">
        <f>"Monthly Point-to-Point Rate in $/MW - Month"</f>
        <v>Monthly Point-to-Point Rate in $/MW - Month</v>
      </c>
      <c r="E44" s="43"/>
      <c r="F44" s="43"/>
      <c r="G44" s="44" t="str">
        <f>"(Ln "&amp;B43&amp;" / 12)"</f>
        <v>(Ln 17 / 12)</v>
      </c>
      <c r="H44" s="43"/>
      <c r="I44" s="75">
        <f>ROUND(+I$43/12,4)</f>
        <v>90.9245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1:21" ht="15">
      <c r="A45" s="37"/>
      <c r="B45" s="42">
        <f t="shared" si="0"/>
        <v>19</v>
      </c>
      <c r="C45" s="39"/>
      <c r="D45" s="35" t="str">
        <f>"Weekly Point-to-Point Rate in $/MW - Weekly"</f>
        <v>Weekly Point-to-Point Rate in $/MW - Weekly</v>
      </c>
      <c r="E45" s="39"/>
      <c r="F45" s="39"/>
      <c r="G45" s="44" t="str">
        <f>"(Ln "&amp;B44&amp;" / 52)"</f>
        <v>(Ln 18 / 52)</v>
      </c>
      <c r="H45" s="39"/>
      <c r="I45" s="75">
        <f>ROUND(+I43/52,4)</f>
        <v>20.9826</v>
      </c>
      <c r="J45" s="39"/>
      <c r="K45"/>
      <c r="L45"/>
      <c r="M45"/>
      <c r="N45"/>
      <c r="O45"/>
      <c r="P45"/>
      <c r="Q45"/>
      <c r="R45"/>
      <c r="S45"/>
      <c r="T45"/>
      <c r="U45"/>
    </row>
    <row r="46" spans="2:21" ht="15">
      <c r="B46" s="42">
        <f t="shared" si="0"/>
        <v>20</v>
      </c>
      <c r="C46" s="39"/>
      <c r="D46" s="35" t="str">
        <f>"Daily On-Peak Point-to-Point Rate in $/MW - Day"</f>
        <v>Daily On-Peak Point-to-Point Rate in $/MW - Day</v>
      </c>
      <c r="E46" s="43"/>
      <c r="F46" s="43"/>
      <c r="G46" s="44" t="str">
        <f>"(Ln "&amp;B45&amp;" / 260)"</f>
        <v>(Ln 19 / 260)</v>
      </c>
      <c r="H46" s="43"/>
      <c r="I46" s="75">
        <f>ROUND(+I43/260,4)</f>
        <v>4.1965</v>
      </c>
      <c r="J46" s="43"/>
      <c r="K46"/>
      <c r="L46"/>
      <c r="M46"/>
      <c r="N46"/>
      <c r="O46"/>
      <c r="P46"/>
      <c r="Q46"/>
      <c r="R46"/>
      <c r="S46"/>
      <c r="T46"/>
      <c r="U46"/>
    </row>
    <row r="47" spans="2:21" ht="15">
      <c r="B47" s="42">
        <f t="shared" si="0"/>
        <v>21</v>
      </c>
      <c r="C47" s="39"/>
      <c r="D47" s="35" t="str">
        <f>"Daily Off-Peak Point-to-Point Rate in $/MW - Day"</f>
        <v>Daily Off-Peak Point-to-Point Rate in $/MW - Day</v>
      </c>
      <c r="E47" s="43"/>
      <c r="F47" s="43"/>
      <c r="G47" s="44" t="str">
        <f>"(Ln "&amp;B46&amp;" / 365)"</f>
        <v>(Ln 20 / 365)</v>
      </c>
      <c r="H47" s="43"/>
      <c r="I47" s="75">
        <f>ROUND(+I43/365,4)</f>
        <v>2.9893</v>
      </c>
      <c r="J47" s="43"/>
      <c r="K47"/>
      <c r="L47"/>
      <c r="M47"/>
      <c r="N47"/>
      <c r="O47"/>
      <c r="P47"/>
      <c r="Q47"/>
      <c r="R47"/>
      <c r="S47"/>
      <c r="T47"/>
      <c r="U47"/>
    </row>
    <row r="48" spans="2:21" ht="15">
      <c r="B48" s="42">
        <f t="shared" si="0"/>
        <v>22</v>
      </c>
      <c r="C48" s="39"/>
      <c r="D48" s="35" t="str">
        <f>"Hourly On-Peak Point-to-Point Rate in $/MW - Hour"</f>
        <v>Hourly On-Peak Point-to-Point Rate in $/MW - Hour</v>
      </c>
      <c r="E48" s="43"/>
      <c r="F48" s="43"/>
      <c r="G48" s="44" t="str">
        <f>"(Ln "&amp;B47&amp;" / 4160)"</f>
        <v>(Ln 21 / 4160)</v>
      </c>
      <c r="H48" s="43"/>
      <c r="I48" s="75">
        <f>ROUND(+I43/4160,4)</f>
        <v>0.2623</v>
      </c>
      <c r="J48" s="43"/>
      <c r="K48"/>
      <c r="L48"/>
      <c r="M48"/>
      <c r="N48"/>
      <c r="O48"/>
      <c r="P48"/>
      <c r="Q48"/>
      <c r="R48"/>
      <c r="S48"/>
      <c r="T48"/>
      <c r="U48"/>
    </row>
    <row r="49" spans="2:21" ht="15">
      <c r="B49" s="42">
        <f t="shared" si="0"/>
        <v>23</v>
      </c>
      <c r="C49" s="39"/>
      <c r="D49" s="35" t="str">
        <f>"Hourly Off-Peak Point-to-Point Rate in $/MW - Hour"</f>
        <v>Hourly Off-Peak Point-to-Point Rate in $/MW - Hour</v>
      </c>
      <c r="E49" s="43"/>
      <c r="F49" s="43"/>
      <c r="G49" s="44" t="str">
        <f>"(Ln "&amp;B48&amp;" / 8760)"</f>
        <v>(Ln 22 / 8760)</v>
      </c>
      <c r="H49" s="43"/>
      <c r="I49" s="75">
        <f>ROUND(+I43/8760,4)</f>
        <v>0.1246</v>
      </c>
      <c r="J49" s="43"/>
      <c r="K49"/>
      <c r="L49"/>
      <c r="M49"/>
      <c r="N49"/>
      <c r="O49"/>
      <c r="P49"/>
      <c r="Q49"/>
      <c r="R49"/>
      <c r="S49"/>
      <c r="T49"/>
      <c r="U49"/>
    </row>
    <row r="50" spans="7:21" ht="15">
      <c r="G50" s="45"/>
      <c r="H50" s="3"/>
      <c r="J50" s="3"/>
      <c r="K50"/>
      <c r="L50"/>
      <c r="M50"/>
      <c r="N50"/>
      <c r="O50"/>
      <c r="P50"/>
      <c r="Q50"/>
      <c r="R50"/>
      <c r="S50"/>
      <c r="T50"/>
      <c r="U50"/>
    </row>
    <row r="51" spans="1:12" ht="15.75">
      <c r="A51" s="11" t="s">
        <v>16</v>
      </c>
      <c r="B51" s="16" t="s">
        <v>22</v>
      </c>
      <c r="C51" s="14"/>
      <c r="D51" s="5"/>
      <c r="E51" s="14"/>
      <c r="F51" s="5"/>
      <c r="G51" s="7"/>
      <c r="H51" s="5"/>
      <c r="J51" s="5"/>
      <c r="L51" s="5"/>
    </row>
    <row r="52" spans="2:19" ht="15">
      <c r="B52" s="46">
        <f>+B49+1</f>
        <v>24</v>
      </c>
      <c r="C52" s="43"/>
      <c r="D52" s="43" t="str">
        <f>"RTEP UPGRADE ATRR W/O INCENTIVES"</f>
        <v>RTEP UPGRADE ATRR W/O INCENTIVES</v>
      </c>
      <c r="G52" s="20" t="str">
        <f>"(Ln "&amp;B24&amp;")"</f>
        <v>(Ln 7)</v>
      </c>
      <c r="H52" s="43"/>
      <c r="I52" s="47">
        <f>SUM(Q52,K52,S52,O52,M52,)</f>
        <v>1789831.3777302383</v>
      </c>
      <c r="J52" s="43"/>
      <c r="K52" s="48">
        <f>+K22</f>
        <v>0</v>
      </c>
      <c r="L52" s="43"/>
      <c r="M52" s="48">
        <f>+M22</f>
        <v>655785.8558806134</v>
      </c>
      <c r="N52" s="41"/>
      <c r="O52" s="48">
        <f>+O22</f>
        <v>0</v>
      </c>
      <c r="P52" s="41"/>
      <c r="Q52" s="48">
        <f>+Q22</f>
        <v>1134045.5218496248</v>
      </c>
      <c r="R52" s="41"/>
      <c r="S52" s="48">
        <f>+S22</f>
        <v>0</v>
      </c>
    </row>
    <row r="53" spans="2:19" ht="15">
      <c r="B53" s="46">
        <f>+B52+1</f>
        <v>25</v>
      </c>
      <c r="C53" s="43"/>
      <c r="D53" s="1" t="s">
        <v>24</v>
      </c>
      <c r="G53" s="24" t="str">
        <f>"(Worksheet J)"</f>
        <v>(Worksheet J)</v>
      </c>
      <c r="H53" s="43"/>
      <c r="I53" s="47">
        <f>SUM(Q53,K53,S53,O53,M53,)</f>
        <v>0</v>
      </c>
      <c r="J53" s="43"/>
      <c r="K53" s="50">
        <v>0</v>
      </c>
      <c r="L53" s="43"/>
      <c r="M53" s="49">
        <v>0</v>
      </c>
      <c r="N53" s="41"/>
      <c r="O53" s="49">
        <v>0</v>
      </c>
      <c r="P53" s="41"/>
      <c r="Q53" s="22">
        <v>0</v>
      </c>
      <c r="R53" s="41"/>
      <c r="S53" s="49">
        <v>0</v>
      </c>
    </row>
    <row r="54" spans="2:23" ht="15.75" thickBot="1">
      <c r="B54" s="46">
        <f>+B53+1</f>
        <v>26</v>
      </c>
      <c r="C54" s="43"/>
      <c r="D54" s="1" t="s">
        <v>52</v>
      </c>
      <c r="G54" s="24"/>
      <c r="H54" s="43"/>
      <c r="I54" s="47">
        <f>SUM(K54,M54,O54,Q54,S54)</f>
        <v>409716.7542293028</v>
      </c>
      <c r="J54" s="43"/>
      <c r="K54" s="22">
        <v>0</v>
      </c>
      <c r="L54" s="43"/>
      <c r="M54" s="50">
        <v>0</v>
      </c>
      <c r="N54" s="41"/>
      <c r="O54" s="50">
        <v>0</v>
      </c>
      <c r="P54" s="41"/>
      <c r="Q54" s="50">
        <v>409716.7542293028</v>
      </c>
      <c r="R54" s="41"/>
      <c r="S54" s="49">
        <v>0</v>
      </c>
      <c r="T54" s="41"/>
      <c r="U54" s="50"/>
      <c r="V54" s="41"/>
      <c r="W54" s="49"/>
    </row>
    <row r="55" spans="2:19" ht="16.5" thickBot="1">
      <c r="B55" s="46">
        <f>+B54+1</f>
        <v>27</v>
      </c>
      <c r="C55" s="43"/>
      <c r="D55" s="73" t="s">
        <v>26</v>
      </c>
      <c r="E55" s="28"/>
      <c r="F55" s="28"/>
      <c r="G55" s="51"/>
      <c r="H55" s="51"/>
      <c r="I55" s="52">
        <f>+I52+I53+I54</f>
        <v>2199548.1319595412</v>
      </c>
      <c r="J55" s="43"/>
      <c r="K55" s="53">
        <f>+K52+K53+K54</f>
        <v>0</v>
      </c>
      <c r="L55" s="43"/>
      <c r="M55" s="53">
        <f>+M52+M53+M54</f>
        <v>655785.8558806134</v>
      </c>
      <c r="N55" s="41"/>
      <c r="O55" s="53">
        <f>+O52+O53+O54</f>
        <v>0</v>
      </c>
      <c r="P55" s="41"/>
      <c r="Q55" s="53">
        <f>+Q52+Q53+Q54</f>
        <v>1543762.2760789276</v>
      </c>
      <c r="R55" s="41"/>
      <c r="S55" s="53">
        <f>+S52+S53+S54</f>
        <v>0</v>
      </c>
    </row>
    <row r="56" spans="2:19" ht="15">
      <c r="B56" s="54"/>
      <c r="C56" s="43"/>
      <c r="D56" s="43"/>
      <c r="E56" s="43"/>
      <c r="F56" s="43"/>
      <c r="G56" s="43"/>
      <c r="H56" s="43"/>
      <c r="I56" s="41"/>
      <c r="J56" s="43"/>
      <c r="L56" s="43"/>
      <c r="M56" s="43"/>
      <c r="N56" s="41"/>
      <c r="O56" s="43"/>
      <c r="P56" s="41"/>
      <c r="Q56" s="43"/>
      <c r="R56" s="41"/>
      <c r="S56" s="43"/>
    </row>
    <row r="57" spans="2:19" ht="15">
      <c r="B57" s="54"/>
      <c r="C57" s="43"/>
      <c r="D57" s="43"/>
      <c r="E57" s="55" t="s">
        <v>9</v>
      </c>
      <c r="F57" s="43"/>
      <c r="G57" s="43"/>
      <c r="H57" s="43"/>
      <c r="I57" s="41"/>
      <c r="J57" s="43"/>
      <c r="L57" s="43"/>
      <c r="M57" s="43"/>
      <c r="N57" s="41"/>
      <c r="O57" s="43"/>
      <c r="P57" s="41"/>
      <c r="Q57" s="43"/>
      <c r="R57" s="41"/>
      <c r="S57" s="43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O58" s="41"/>
      <c r="P58" s="41"/>
      <c r="R58" s="41"/>
      <c r="S58" s="41"/>
    </row>
    <row r="59" spans="2:19" ht="15">
      <c r="B59" s="56"/>
      <c r="C59" s="57"/>
      <c r="D59" s="57"/>
      <c r="E59" s="57"/>
      <c r="F59" s="57"/>
      <c r="G59" s="57"/>
      <c r="H59" s="57"/>
      <c r="I59" s="41"/>
      <c r="J59" s="57"/>
      <c r="K59" s="57"/>
      <c r="L59" s="57"/>
      <c r="M59" s="57"/>
      <c r="N59" s="41"/>
      <c r="O59" s="41"/>
      <c r="P59" s="41"/>
      <c r="R59" s="41"/>
      <c r="S59" s="41"/>
    </row>
    <row r="60" spans="2:19" ht="15">
      <c r="B60" s="56"/>
      <c r="C60" s="57"/>
      <c r="D60" s="57"/>
      <c r="E60" s="57"/>
      <c r="F60" s="57"/>
      <c r="G60" s="57"/>
      <c r="H60" s="57"/>
      <c r="I60" s="41"/>
      <c r="J60" s="57"/>
      <c r="K60" s="57"/>
      <c r="L60" s="57"/>
      <c r="M60" s="57"/>
      <c r="N60" s="41"/>
      <c r="P60" s="41"/>
      <c r="Q60" s="41"/>
      <c r="R60" s="41"/>
      <c r="S60" s="41"/>
    </row>
    <row r="61" spans="2:19" ht="15">
      <c r="B61" s="56"/>
      <c r="C61" s="57"/>
      <c r="D61" s="57"/>
      <c r="E61" s="57"/>
      <c r="F61" s="57"/>
      <c r="G61" s="57"/>
      <c r="H61" s="57"/>
      <c r="I61" s="41"/>
      <c r="J61" s="57"/>
      <c r="K61" s="57"/>
      <c r="L61" s="57"/>
      <c r="M61" s="57"/>
      <c r="N61" s="41"/>
      <c r="P61" s="41"/>
      <c r="Q61" s="41"/>
      <c r="R61" s="41"/>
      <c r="S61" s="41"/>
    </row>
    <row r="62" spans="2:19" ht="15">
      <c r="B62" s="56"/>
      <c r="C62" s="57"/>
      <c r="D62" s="57"/>
      <c r="E62" s="57"/>
      <c r="F62" s="57"/>
      <c r="G62" s="57"/>
      <c r="H62" s="57"/>
      <c r="I62" s="41"/>
      <c r="J62" s="57"/>
      <c r="K62" s="57"/>
      <c r="L62" s="57"/>
      <c r="M62" s="57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ht="15">
      <c r="B119" s="5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>
      <c r="B120" s="58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ht="15">
      <c r="B121" s="58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ht="15">
      <c r="B122" s="58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  <row r="977" spans="2:13" ht="15">
      <c r="B977" s="59"/>
      <c r="C977" s="37"/>
      <c r="D977" s="37"/>
      <c r="E977" s="37"/>
      <c r="F977" s="37"/>
      <c r="G977" s="37"/>
      <c r="H977" s="37"/>
      <c r="J977" s="37"/>
      <c r="K977" s="37"/>
      <c r="L977" s="37"/>
      <c r="M977" s="37"/>
    </row>
    <row r="978" spans="2:13" ht="15">
      <c r="B978" s="59"/>
      <c r="C978" s="37"/>
      <c r="D978" s="37"/>
      <c r="E978" s="37"/>
      <c r="F978" s="37"/>
      <c r="G978" s="37"/>
      <c r="H978" s="37"/>
      <c r="J978" s="37"/>
      <c r="K978" s="37"/>
      <c r="L978" s="37"/>
      <c r="M978" s="37"/>
    </row>
    <row r="979" spans="2:13" ht="15">
      <c r="B979" s="59"/>
      <c r="C979" s="37"/>
      <c r="D979" s="37"/>
      <c r="E979" s="37"/>
      <c r="F979" s="37"/>
      <c r="G979" s="37"/>
      <c r="H979" s="37"/>
      <c r="J979" s="37"/>
      <c r="K979" s="37"/>
      <c r="L979" s="37"/>
      <c r="M979" s="37"/>
    </row>
    <row r="980" spans="2:13" ht="15">
      <c r="B980" s="59"/>
      <c r="C980" s="37"/>
      <c r="D980" s="37"/>
      <c r="E980" s="37"/>
      <c r="F980" s="37"/>
      <c r="G980" s="37"/>
      <c r="H980" s="37"/>
      <c r="J980" s="37"/>
      <c r="K980" s="37"/>
      <c r="L980" s="37"/>
      <c r="M980" s="37"/>
    </row>
  </sheetData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3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workbookViewId="0" topLeftCell="A1">
      <selection activeCell="G33" sqref="G33"/>
    </sheetView>
  </sheetViews>
  <sheetFormatPr defaultColWidth="8.851562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18.8515625" style="1" customWidth="1"/>
    <col min="10" max="10" width="2.7109375" style="1" customWidth="1"/>
    <col min="11" max="11" width="19.00390625" style="1" customWidth="1"/>
    <col min="12" max="12" width="2.7109375" style="1" customWidth="1"/>
    <col min="13" max="13" width="18.7109375" style="1" customWidth="1"/>
    <col min="14" max="14" width="2.7109375" style="1" customWidth="1"/>
    <col min="15" max="15" width="19.8515625" style="1" customWidth="1"/>
    <col min="16" max="16" width="2.7109375" style="1" customWidth="1"/>
    <col min="17" max="17" width="19.281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5">
        <v>2012</v>
      </c>
    </row>
    <row r="2" spans="2:19" ht="15">
      <c r="B2" s="2"/>
      <c r="C2" s="3"/>
      <c r="D2" s="3"/>
      <c r="E2" s="3"/>
      <c r="F2" s="3"/>
      <c r="H2" s="3"/>
      <c r="I2" s="3"/>
      <c r="J2" s="3"/>
      <c r="S2" s="65"/>
    </row>
    <row r="3" spans="1:21" ht="15.75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02"/>
      <c r="U3" s="102"/>
    </row>
    <row r="4" spans="1:18" ht="15">
      <c r="A4" s="118" t="str">
        <f>"Including Costs through December 31, "&amp;S1-1&amp;""</f>
        <v>Including Costs through December 31, 2011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20" ht="15">
      <c r="A5" s="109" t="str">
        <f>"For charges effective July 1, "&amp;S1&amp;""</f>
        <v>For charges effective July 1, 2012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20" t="s">
        <v>48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106" t="s">
        <v>51</v>
      </c>
      <c r="H9" s="103"/>
      <c r="I9" s="104" t="s">
        <v>36</v>
      </c>
      <c r="J9" s="105"/>
      <c r="K9" s="106" t="s">
        <v>39</v>
      </c>
      <c r="L9" s="107"/>
      <c r="M9" s="106" t="s">
        <v>38</v>
      </c>
      <c r="N9" s="107"/>
      <c r="O9" s="106" t="s">
        <v>34</v>
      </c>
      <c r="P9" s="107"/>
      <c r="Q9" s="106" t="s">
        <v>37</v>
      </c>
    </row>
    <row r="10" spans="2:17" ht="15.75">
      <c r="B10" s="6" t="s">
        <v>0</v>
      </c>
      <c r="C10" s="7"/>
      <c r="D10" s="5"/>
      <c r="E10" s="5"/>
      <c r="F10" s="5"/>
      <c r="G10" s="11" t="s">
        <v>35</v>
      </c>
      <c r="H10" s="5"/>
      <c r="I10" s="12" t="s">
        <v>35</v>
      </c>
      <c r="J10" s="12"/>
      <c r="K10" s="12" t="s">
        <v>35</v>
      </c>
      <c r="M10" s="12" t="s">
        <v>35</v>
      </c>
      <c r="O10" s="12" t="s">
        <v>35</v>
      </c>
      <c r="Q10" s="12" t="s">
        <v>35</v>
      </c>
    </row>
    <row r="11" spans="2:17" ht="16.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.75">
      <c r="A14" s="11" t="s">
        <v>3</v>
      </c>
      <c r="B14" s="16" t="s">
        <v>23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49</v>
      </c>
      <c r="E15" s="5"/>
      <c r="F15" s="20"/>
      <c r="G15" s="34">
        <f>SUM(I15,K15,M15,O15,Q15,,)</f>
        <v>0</v>
      </c>
      <c r="H15" s="80"/>
      <c r="I15" s="34">
        <v>0</v>
      </c>
      <c r="J15" s="34"/>
      <c r="K15" s="82">
        <v>0</v>
      </c>
      <c r="L15" s="18"/>
      <c r="M15" s="82">
        <v>0</v>
      </c>
      <c r="N15" s="18"/>
      <c r="O15" s="34">
        <v>0</v>
      </c>
      <c r="P15" s="18"/>
      <c r="Q15" s="34">
        <v>0</v>
      </c>
      <c r="R15" s="18"/>
    </row>
    <row r="16" spans="2:18" ht="15">
      <c r="B16" s="6">
        <f>+B15+1</f>
        <v>2</v>
      </c>
      <c r="C16" s="7"/>
      <c r="D16" s="17" t="s">
        <v>17</v>
      </c>
      <c r="E16" s="5"/>
      <c r="F16" s="20"/>
      <c r="G16" s="34">
        <f>SUM(I16,K16,M16,O16,Q16,,)</f>
        <v>0</v>
      </c>
      <c r="H16" s="80"/>
      <c r="I16" s="34">
        <v>0</v>
      </c>
      <c r="J16" s="34"/>
      <c r="K16" s="82">
        <v>0</v>
      </c>
      <c r="L16" s="18"/>
      <c r="M16" s="82">
        <v>0</v>
      </c>
      <c r="N16" s="18"/>
      <c r="O16" s="34">
        <v>0</v>
      </c>
      <c r="P16" s="18"/>
      <c r="Q16" s="34">
        <v>0</v>
      </c>
      <c r="R16" s="18"/>
    </row>
    <row r="17" spans="2:18" ht="15.75" thickBot="1">
      <c r="B17" s="6">
        <f>+B16+1</f>
        <v>3</v>
      </c>
      <c r="C17" s="7"/>
      <c r="D17" s="17" t="s">
        <v>18</v>
      </c>
      <c r="E17" s="5"/>
      <c r="F17" s="20"/>
      <c r="G17" s="61">
        <f>SUM(I17,K17,M17,O17,Q17,,)</f>
        <v>0</v>
      </c>
      <c r="H17" s="80"/>
      <c r="I17" s="61">
        <v>0</v>
      </c>
      <c r="J17" s="34"/>
      <c r="K17" s="83">
        <v>0</v>
      </c>
      <c r="L17" s="18"/>
      <c r="M17" s="99">
        <v>0</v>
      </c>
      <c r="N17" s="18"/>
      <c r="O17" s="100">
        <v>0</v>
      </c>
      <c r="P17" s="18"/>
      <c r="Q17" s="100">
        <v>0</v>
      </c>
      <c r="R17" s="18"/>
    </row>
    <row r="18" spans="2:18" ht="15">
      <c r="B18" s="6">
        <f>+B17+1</f>
        <v>4</v>
      </c>
      <c r="C18" s="7"/>
      <c r="D18" s="17" t="s">
        <v>19</v>
      </c>
      <c r="E18" s="7" t="str">
        <f>"(Ln "&amp;B15&amp;" - Ln "&amp;B16&amp;" - Ln "&amp;B17&amp;")"</f>
        <v>(Ln 1 - Ln 2 - Ln 3)</v>
      </c>
      <c r="F18" s="20"/>
      <c r="G18" s="34">
        <f>+G15-G16-G17</f>
        <v>0</v>
      </c>
      <c r="H18" s="80"/>
      <c r="I18" s="34">
        <f>+I15-I16-I17</f>
        <v>0</v>
      </c>
      <c r="J18" s="34"/>
      <c r="K18" s="82">
        <f>+K15-K16-K17</f>
        <v>0</v>
      </c>
      <c r="L18" s="18"/>
      <c r="M18" s="82">
        <f>+M15-M16-M17</f>
        <v>0</v>
      </c>
      <c r="N18" s="18"/>
      <c r="O18" s="34">
        <f>+O15-O16-O17</f>
        <v>0</v>
      </c>
      <c r="P18" s="18"/>
      <c r="Q18" s="34">
        <f>+Q15-Q16-Q17</f>
        <v>0</v>
      </c>
      <c r="R18" s="18"/>
    </row>
    <row r="19" spans="2:18" ht="15">
      <c r="B19" s="1"/>
      <c r="C19" s="7"/>
      <c r="D19" s="17"/>
      <c r="E19" s="7"/>
      <c r="F19" s="20"/>
      <c r="G19" s="34"/>
      <c r="H19" s="80"/>
      <c r="I19" s="34"/>
      <c r="J19" s="34"/>
      <c r="K19" s="82"/>
      <c r="L19" s="18"/>
      <c r="M19" s="82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20</v>
      </c>
      <c r="E20" s="7"/>
      <c r="F20" s="20"/>
      <c r="G20" s="34">
        <f>SUM(I20,K20,M20,O20,Q20,,)</f>
        <v>0</v>
      </c>
      <c r="H20" s="21"/>
      <c r="I20" s="81">
        <v>0</v>
      </c>
      <c r="J20" s="85"/>
      <c r="K20" s="81">
        <v>0</v>
      </c>
      <c r="L20" s="18"/>
      <c r="M20" s="81">
        <v>0</v>
      </c>
      <c r="N20" s="18"/>
      <c r="O20" s="81">
        <v>0</v>
      </c>
      <c r="P20" s="18"/>
      <c r="Q20" s="81">
        <v>0</v>
      </c>
      <c r="R20" s="18"/>
    </row>
    <row r="21" spans="2:18" ht="15">
      <c r="B21" s="6"/>
      <c r="C21" s="7"/>
      <c r="D21" s="17"/>
      <c r="E21" s="7"/>
      <c r="F21" s="20"/>
      <c r="G21" s="34"/>
      <c r="H21" s="80"/>
      <c r="I21" s="34"/>
      <c r="J21" s="34"/>
      <c r="K21" s="82"/>
      <c r="L21" s="18"/>
      <c r="M21" s="82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21</v>
      </c>
      <c r="E22" s="20" t="str">
        <f>"(Ln "&amp;B18&amp;" - Ln "&amp;B20&amp;")"</f>
        <v>(Ln 4 - Ln 5)</v>
      </c>
      <c r="F22" s="3"/>
      <c r="G22" s="34">
        <f>SUM(I22,K22,M22,O22,Q22,,)</f>
        <v>0</v>
      </c>
      <c r="H22" s="21"/>
      <c r="I22" s="76">
        <f>I18-I20</f>
        <v>0</v>
      </c>
      <c r="J22" s="85"/>
      <c r="K22" s="92">
        <v>0</v>
      </c>
      <c r="L22" s="18"/>
      <c r="M22" s="92">
        <v>0</v>
      </c>
      <c r="N22" s="18"/>
      <c r="O22" s="76">
        <v>0</v>
      </c>
      <c r="P22" s="18"/>
      <c r="Q22" s="76">
        <v>0</v>
      </c>
      <c r="R22" s="18"/>
    </row>
    <row r="23" spans="7:18" ht="15">
      <c r="G23" s="18"/>
      <c r="H23" s="18"/>
      <c r="I23" s="18"/>
      <c r="J23" s="18"/>
      <c r="K23" s="77"/>
      <c r="L23" s="18"/>
      <c r="M23" s="77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(2011) ACTUAL ARR</v>
      </c>
      <c r="E24" s="3"/>
      <c r="F24" s="3"/>
      <c r="G24" s="34">
        <f>SUM(I24,K24,M24,O24,Q24,,)</f>
        <v>0</v>
      </c>
      <c r="H24" s="21"/>
      <c r="I24" s="81"/>
      <c r="J24" s="85"/>
      <c r="K24" s="81"/>
      <c r="L24" s="18"/>
      <c r="M24" s="81"/>
      <c r="N24" s="18"/>
      <c r="O24" s="81"/>
      <c r="P24" s="18"/>
      <c r="Q24" s="81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(2011) ARR FROM PRIOR YEAR</v>
      </c>
      <c r="E25" s="3"/>
      <c r="F25" s="3"/>
      <c r="G25" s="34">
        <f>SUM(I25,K25,M25,O25,Q25,,)</f>
        <v>0</v>
      </c>
      <c r="H25" s="21"/>
      <c r="I25" s="94"/>
      <c r="J25" s="85"/>
      <c r="K25" s="94"/>
      <c r="L25" s="18"/>
      <c r="M25" s="94"/>
      <c r="N25" s="18"/>
      <c r="O25" s="94"/>
      <c r="P25" s="18"/>
      <c r="Q25" s="94"/>
      <c r="R25" s="18"/>
    </row>
    <row r="26" spans="2:18" ht="15">
      <c r="B26" s="6">
        <f>+B25+1</f>
        <v>9</v>
      </c>
      <c r="C26" s="7"/>
      <c r="D26" s="17" t="s">
        <v>11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6">
        <f>I24-I25</f>
        <v>0</v>
      </c>
      <c r="J26" s="85"/>
      <c r="K26" s="92">
        <f>K24-K25</f>
        <v>0</v>
      </c>
      <c r="L26" s="18"/>
      <c r="M26" s="92">
        <f>M24-M25</f>
        <v>0</v>
      </c>
      <c r="N26" s="18"/>
      <c r="O26" s="76">
        <f>O24-O25</f>
        <v>0</v>
      </c>
      <c r="P26" s="18"/>
      <c r="Q26" s="76">
        <f>Q24-Q25</f>
        <v>0</v>
      </c>
      <c r="R26" s="18"/>
    </row>
    <row r="27" spans="5:18" ht="15">
      <c r="E27" s="3"/>
      <c r="F27" s="3"/>
      <c r="G27" s="76"/>
      <c r="H27" s="21"/>
      <c r="I27" s="85"/>
      <c r="J27" s="85"/>
      <c r="K27" s="86"/>
      <c r="L27" s="18"/>
      <c r="M27" s="86"/>
      <c r="N27" s="18"/>
      <c r="O27" s="85"/>
      <c r="P27" s="18"/>
      <c r="Q27" s="85"/>
      <c r="R27" s="18"/>
    </row>
    <row r="28" spans="2:18" ht="15">
      <c r="B28" s="6">
        <f>+B26+1</f>
        <v>10</v>
      </c>
      <c r="C28" s="7"/>
      <c r="D28" s="17" t="s">
        <v>12</v>
      </c>
      <c r="E28" s="3"/>
      <c r="F28" s="34"/>
      <c r="G28" s="34">
        <f>SUM(I28,K28,M28,O28,Q28,,)</f>
        <v>0</v>
      </c>
      <c r="H28" s="21"/>
      <c r="I28" s="85">
        <v>0</v>
      </c>
      <c r="J28" s="85"/>
      <c r="K28" s="86">
        <v>0</v>
      </c>
      <c r="L28" s="18"/>
      <c r="M28" s="86">
        <v>0</v>
      </c>
      <c r="N28" s="18"/>
      <c r="O28" s="85">
        <v>0</v>
      </c>
      <c r="P28" s="18"/>
      <c r="Q28" s="85">
        <v>0</v>
      </c>
      <c r="R28" s="18"/>
    </row>
    <row r="29" spans="2:18" ht="15.75" thickBot="1">
      <c r="B29" s="6"/>
      <c r="C29" s="7"/>
      <c r="D29" s="17"/>
      <c r="E29" s="5"/>
      <c r="F29" s="20"/>
      <c r="G29" s="18"/>
      <c r="H29" s="80"/>
      <c r="I29" s="34"/>
      <c r="J29" s="34"/>
      <c r="K29" s="82"/>
      <c r="L29" s="18"/>
      <c r="M29" s="82"/>
      <c r="N29" s="18"/>
      <c r="O29" s="34"/>
      <c r="P29" s="18"/>
      <c r="Q29" s="34"/>
      <c r="R29" s="18"/>
    </row>
    <row r="30" spans="2:18" ht="15.75" thickBot="1">
      <c r="B30" s="6">
        <f>+B28+1</f>
        <v>11</v>
      </c>
      <c r="C30" s="7"/>
      <c r="D30" s="62" t="s">
        <v>25</v>
      </c>
      <c r="E30" s="27"/>
      <c r="F30" s="29"/>
      <c r="G30" s="63">
        <f>SUM(I30,K30,M30,O30,Q30,,)</f>
        <v>0</v>
      </c>
      <c r="H30" s="80"/>
      <c r="I30" s="32">
        <f>+I22+I26+I28</f>
        <v>0</v>
      </c>
      <c r="J30" s="34"/>
      <c r="K30" s="79">
        <f>+K22+K26+K28</f>
        <v>0</v>
      </c>
      <c r="L30" s="18"/>
      <c r="M30" s="79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.75">
      <c r="A32" s="11" t="s">
        <v>13</v>
      </c>
      <c r="B32" s="16" t="s">
        <v>27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"Prior Calendar Year ("&amp;S1-1&amp;" Est.) AEP East Zone Annual MWh"</f>
        <v>Prior Calendar Year (2011 Est.) AEP East Zone Annual MWh</v>
      </c>
      <c r="E33" s="7"/>
      <c r="F33" s="20"/>
      <c r="G33" s="64">
        <v>137821585.936</v>
      </c>
      <c r="H33" s="5" t="s">
        <v>28</v>
      </c>
      <c r="I33" s="21"/>
      <c r="J33" s="3"/>
      <c r="K33" s="21"/>
    </row>
    <row r="34" spans="2:11" ht="15">
      <c r="B34" s="6"/>
      <c r="C34" s="7"/>
      <c r="D34" s="110" t="s">
        <v>54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29</v>
      </c>
      <c r="E35" s="43" t="str">
        <f>"(Line "&amp;B30&amp;" / Line "&amp;B33&amp;")"</f>
        <v>(Line 11 / Line 12)</v>
      </c>
      <c r="F35" s="43"/>
      <c r="G35" s="74">
        <f>+G30/G33</f>
        <v>0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6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American Electric Power®</cp:lastModifiedBy>
  <cp:lastPrinted>2012-05-23T13:36:10Z</cp:lastPrinted>
  <dcterms:created xsi:type="dcterms:W3CDTF">2008-07-20T22:34:28Z</dcterms:created>
  <dcterms:modified xsi:type="dcterms:W3CDTF">2012-05-24T17:17:36Z</dcterms:modified>
  <cp:category/>
  <cp:version/>
  <cp:contentType/>
  <cp:contentStatus/>
</cp:coreProperties>
</file>